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ac9c64c2bff273/Documents/"/>
    </mc:Choice>
  </mc:AlternateContent>
  <xr:revisionPtr revIDLastSave="1" documentId="8_{6C96ACD6-EB76-4F93-8208-587BBFF9BC4D}" xr6:coauthVersionLast="47" xr6:coauthVersionMax="47" xr10:uidLastSave="{BC4AA65C-651A-41C9-89E9-C9AC588F3EF2}"/>
  <bookViews>
    <workbookView xWindow="4908" yWindow="0" windowWidth="17280" windowHeight="8880" xr2:uid="{00000000-000D-0000-FFFF-FFFF00000000}"/>
  </bookViews>
  <sheets>
    <sheet name="Statement of Activity" sheetId="6" r:id="rId1"/>
    <sheet name="Payments Made" sheetId="1" r:id="rId2"/>
    <sheet name="Unpaid Bills" sheetId="2" r:id="rId3"/>
    <sheet name="Account Balances" sheetId="3" r:id="rId4"/>
    <sheet name="A R Aging Summary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2" l="1"/>
  <c r="G20" i="2"/>
  <c r="H15" i="2"/>
  <c r="G15" i="2"/>
  <c r="H8" i="2"/>
  <c r="G8" i="2"/>
  <c r="B8" i="6" l="1"/>
  <c r="C8" i="6"/>
  <c r="C9" i="6"/>
  <c r="B10" i="6"/>
  <c r="B16" i="6" s="1"/>
  <c r="B25" i="6" s="1"/>
  <c r="B26" i="6" s="1"/>
  <c r="C10" i="6"/>
  <c r="B11" i="6"/>
  <c r="C11" i="6"/>
  <c r="C12" i="6"/>
  <c r="B13" i="6"/>
  <c r="C13" i="6"/>
  <c r="C15" i="6" s="1"/>
  <c r="C14" i="6"/>
  <c r="B15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8" i="6"/>
  <c r="C28" i="6"/>
  <c r="C29" i="6"/>
  <c r="C31" i="6"/>
  <c r="B32" i="6"/>
  <c r="C32" i="6"/>
  <c r="B33" i="6"/>
  <c r="C33" i="6"/>
  <c r="C35" i="6"/>
  <c r="C40" i="6" s="1"/>
  <c r="C36" i="6"/>
  <c r="C37" i="6"/>
  <c r="C38" i="6"/>
  <c r="C39" i="6"/>
  <c r="B40" i="6"/>
  <c r="C42" i="6"/>
  <c r="B43" i="6"/>
  <c r="C43" i="6"/>
  <c r="C44" i="6"/>
  <c r="C46" i="6"/>
  <c r="C47" i="6"/>
  <c r="C48" i="6"/>
  <c r="C49" i="6" s="1"/>
  <c r="B49" i="6"/>
  <c r="B51" i="6"/>
  <c r="B52" i="6" s="1"/>
  <c r="C51" i="6"/>
  <c r="C52" i="6" s="1"/>
  <c r="B53" i="6"/>
  <c r="C53" i="6"/>
  <c r="B54" i="6"/>
  <c r="C54" i="6"/>
  <c r="C56" i="6"/>
  <c r="B57" i="6"/>
  <c r="C57" i="6"/>
  <c r="C62" i="6" s="1"/>
  <c r="B58" i="6"/>
  <c r="B62" i="6" s="1"/>
  <c r="C58" i="6"/>
  <c r="B59" i="6"/>
  <c r="C59" i="6"/>
  <c r="B60" i="6"/>
  <c r="C60" i="6"/>
  <c r="B61" i="6"/>
  <c r="C61" i="6"/>
  <c r="C64" i="6"/>
  <c r="C65" i="6"/>
  <c r="B66" i="6"/>
  <c r="C66" i="6"/>
  <c r="B68" i="6"/>
  <c r="C68" i="6"/>
  <c r="B69" i="6"/>
  <c r="C69" i="6"/>
  <c r="B70" i="6"/>
  <c r="C70" i="6"/>
  <c r="C71" i="6"/>
  <c r="B72" i="6"/>
  <c r="C72" i="6"/>
  <c r="C74" i="6"/>
  <c r="B75" i="6"/>
  <c r="C75" i="6"/>
  <c r="B76" i="6"/>
  <c r="C76" i="6"/>
  <c r="C77" i="6"/>
  <c r="B79" i="6"/>
  <c r="C79" i="6"/>
  <c r="B80" i="6"/>
  <c r="C80" i="6"/>
  <c r="C85" i="6"/>
  <c r="C86" i="6" s="1"/>
  <c r="C90" i="6" s="1"/>
  <c r="C98" i="6" s="1"/>
  <c r="B86" i="6"/>
  <c r="B87" i="6"/>
  <c r="C87" i="6"/>
  <c r="B88" i="6"/>
  <c r="C88" i="6"/>
  <c r="B89" i="6"/>
  <c r="C89" i="6"/>
  <c r="B90" i="6"/>
  <c r="C92" i="6"/>
  <c r="C97" i="6" s="1"/>
  <c r="B93" i="6"/>
  <c r="B97" i="6" s="1"/>
  <c r="C93" i="6"/>
  <c r="C95" i="6"/>
  <c r="B96" i="6"/>
  <c r="C96" i="6"/>
  <c r="G6" i="5"/>
  <c r="C16" i="6" l="1"/>
  <c r="C25" i="6" s="1"/>
  <c r="C26" i="6" s="1"/>
  <c r="C82" i="6" s="1"/>
  <c r="C99" i="6" s="1"/>
  <c r="B81" i="6"/>
  <c r="B98" i="6"/>
  <c r="B82" i="6"/>
  <c r="C81" i="6"/>
  <c r="I35" i="1"/>
  <c r="B99" i="6" l="1"/>
</calcChain>
</file>

<file path=xl/sharedStrings.xml><?xml version="1.0" encoding="utf-8"?>
<sst xmlns="http://schemas.openxmlformats.org/spreadsheetml/2006/main" count="257" uniqueCount="183">
  <si>
    <t>COLLINGS LAKES CIVIC ASSOCIATION</t>
  </si>
  <si>
    <t>Transaction List by Vendor</t>
  </si>
  <si>
    <t>September 2024</t>
  </si>
  <si>
    <t>ATLANTIC CITY ELECTRIC</t>
  </si>
  <si>
    <t>09/11/2024</t>
  </si>
  <si>
    <t>Bill Payment (Check)</t>
  </si>
  <si>
    <t>091124</t>
  </si>
  <si>
    <t>Yes</t>
  </si>
  <si>
    <t>55002433005</t>
  </si>
  <si>
    <t>LB CHECKING 155</t>
  </si>
  <si>
    <t>Total for ATLANTIC CITY ELECTRIC</t>
  </si>
  <si>
    <t>09/16/2024</t>
  </si>
  <si>
    <t/>
  </si>
  <si>
    <t>HILL WALLACK</t>
  </si>
  <si>
    <t>ACH</t>
  </si>
  <si>
    <t>Total for HILL WALLACK</t>
  </si>
  <si>
    <t>H&amp;S BUSINESS PARTNERS</t>
  </si>
  <si>
    <t>09/06/2024</t>
  </si>
  <si>
    <t>Bill</t>
  </si>
  <si>
    <t>09/20/2024</t>
  </si>
  <si>
    <t>Total for H&amp;S BUSINESS PARTNERS</t>
  </si>
  <si>
    <t>INTUIT</t>
  </si>
  <si>
    <t>09/23/2024</t>
  </si>
  <si>
    <t>Expense</t>
  </si>
  <si>
    <t>092324</t>
  </si>
  <si>
    <t>LB PETTY CASH 1341</t>
  </si>
  <si>
    <t>Total for INTUIT</t>
  </si>
  <si>
    <t>LINKBANK</t>
  </si>
  <si>
    <t>Check</t>
  </si>
  <si>
    <t>090624</t>
  </si>
  <si>
    <t>09/10/2024</t>
  </si>
  <si>
    <t>TFER</t>
  </si>
  <si>
    <t>Total for LINKBANK</t>
  </si>
  <si>
    <t>RAC PROPERTY MAINTENANCE</t>
  </si>
  <si>
    <t>Total for RAC PROPERTY MAINTENANCE</t>
  </si>
  <si>
    <t>RD ZEULLI INC.</t>
  </si>
  <si>
    <t>09/30/2024</t>
  </si>
  <si>
    <t>App 11</t>
  </si>
  <si>
    <t>Total for RD ZEULLI INC.</t>
  </si>
  <si>
    <t>STAPLES</t>
  </si>
  <si>
    <t>Election Nomination Ballots and ADRs</t>
  </si>
  <si>
    <t>Total for STAPLES</t>
  </si>
  <si>
    <t>USPS</t>
  </si>
  <si>
    <t>09/19/2024</t>
  </si>
  <si>
    <t>Total for USPS</t>
  </si>
  <si>
    <t>ZOOM</t>
  </si>
  <si>
    <t>093024</t>
  </si>
  <si>
    <t>Total for ZOOM</t>
  </si>
  <si>
    <t>Vendor</t>
  </si>
  <si>
    <t>Date</t>
  </si>
  <si>
    <t>Transaction type</t>
  </si>
  <si>
    <t>Num</t>
  </si>
  <si>
    <t>Posting</t>
  </si>
  <si>
    <t>Memo/Description</t>
  </si>
  <si>
    <t>Account full name</t>
  </si>
  <si>
    <t>Amount</t>
  </si>
  <si>
    <t>Accrual Basis Tuesday, October 01, 2024 01:32 PM GMTZ</t>
  </si>
  <si>
    <t>DBT CRD 1204</t>
  </si>
  <si>
    <t>TOTAL</t>
  </si>
  <si>
    <t>10/10/2024</t>
  </si>
  <si>
    <t>H&amp;S BUSINESS PARTNERS
18567518805</t>
  </si>
  <si>
    <t>Open Balance</t>
  </si>
  <si>
    <t>Past Due</t>
  </si>
  <si>
    <t>Due Date</t>
  </si>
  <si>
    <t>Transaction Type</t>
  </si>
  <si>
    <t>All Dates</t>
  </si>
  <si>
    <t>Unpaid Bills</t>
  </si>
  <si>
    <t>Collings Lakes Civic Association</t>
  </si>
  <si>
    <t>Account</t>
  </si>
  <si>
    <t>Ending Balance</t>
  </si>
  <si>
    <t>155 Operating</t>
  </si>
  <si>
    <t>171 Dam MM</t>
  </si>
  <si>
    <t>198 MM</t>
  </si>
  <si>
    <t>163 Games of Chance</t>
  </si>
  <si>
    <t>341 Petty Cash</t>
  </si>
  <si>
    <t>Waiting on client for backup on "balance due" item</t>
  </si>
  <si>
    <t>Net Revenue</t>
  </si>
  <si>
    <t>Net Other Revenue</t>
  </si>
  <si>
    <t>Total Other Expenditures</t>
  </si>
  <si>
    <t xml:space="preserve">   Total LEGAL FEES ASSESSED</t>
  </si>
  <si>
    <t xml:space="preserve">      COLLECTION FEES</t>
  </si>
  <si>
    <t xml:space="preserve">   LEGAL FEES ASSESSED</t>
  </si>
  <si>
    <t xml:space="preserve">   CREDIT</t>
  </si>
  <si>
    <t xml:space="preserve">   ADJUSTMENT (deleted)</t>
  </si>
  <si>
    <t>Other Expenditures</t>
  </si>
  <si>
    <t>Total Other Revenue</t>
  </si>
  <si>
    <t xml:space="preserve">   NEW RESIDENT SET UP FEE</t>
  </si>
  <si>
    <t xml:space="preserve">   LEGAL FEES COLLECTED/REIMBURSEMENTS</t>
  </si>
  <si>
    <t xml:space="preserve">   INTEREST INCOME</t>
  </si>
  <si>
    <t xml:space="preserve">   Total FUNDRAISING (deleted)</t>
  </si>
  <si>
    <t xml:space="preserve">      2024 FLOWER SALE FUNDRAISER (deleted)</t>
  </si>
  <si>
    <t xml:space="preserve">   FUNDRAISING (deleted)</t>
  </si>
  <si>
    <t>Other Revenue</t>
  </si>
  <si>
    <t>Net Operating Revenue</t>
  </si>
  <si>
    <t>Total Expenditures</t>
  </si>
  <si>
    <t xml:space="preserve">   Total UTILITIES</t>
  </si>
  <si>
    <t xml:space="preserve">      ELECTRIC</t>
  </si>
  <si>
    <t xml:space="preserve">   UTILITIES</t>
  </si>
  <si>
    <t xml:space="preserve">   Unapplied Cash Bill Payment Expense</t>
  </si>
  <si>
    <t xml:space="preserve">   RETURNED CHECK CHARGE</t>
  </si>
  <si>
    <t xml:space="preserve">   Total REFUNDS</t>
  </si>
  <si>
    <t xml:space="preserve">      RESIDENT REFUND FOR OVERPAYMENT</t>
  </si>
  <si>
    <t xml:space="preserve">   REFUNDS</t>
  </si>
  <si>
    <t xml:space="preserve">   Total PROFESSIONAL FEES</t>
  </si>
  <si>
    <t xml:space="preserve">      TRAINING</t>
  </si>
  <si>
    <t xml:space="preserve">      LEGAL FEES (GENERAL COUNSEL)</t>
  </si>
  <si>
    <t xml:space="preserve">      LEGAL FEES (COLLECTIONS)</t>
  </si>
  <si>
    <t xml:space="preserve">      ACCOUNTING/BOOKKEEPING FEES</t>
  </si>
  <si>
    <t xml:space="preserve">   PROFESSIONAL FEES</t>
  </si>
  <si>
    <t xml:space="preserve">   Total OTHER EXPENSES</t>
  </si>
  <si>
    <t xml:space="preserve">      FUNDRAISER COSTS</t>
  </si>
  <si>
    <t xml:space="preserve">      ACH PAYMENT FEE</t>
  </si>
  <si>
    <t xml:space="preserve">   OTHER EXPENSES</t>
  </si>
  <si>
    <t xml:space="preserve">   Total OFFICE</t>
  </si>
  <si>
    <t xml:space="preserve">      SUPPLIES</t>
  </si>
  <si>
    <t xml:space="preserve">      QUICKBOOKS SUBSCRIPTION</t>
  </si>
  <si>
    <t xml:space="preserve">      PRINTING</t>
  </si>
  <si>
    <t xml:space="preserve">      POSTAGE</t>
  </si>
  <si>
    <t xml:space="preserve">      INTERNET - ZOOM MEETING</t>
  </si>
  <si>
    <t xml:space="preserve">      ELECTRONIC PURCHASES</t>
  </si>
  <si>
    <t xml:space="preserve">   OFFICE</t>
  </si>
  <si>
    <t xml:space="preserve">   MISCELLANEOUS EXPENSE</t>
  </si>
  <si>
    <t xml:space="preserve">   LAWN MAINTENANCE &amp; CARE</t>
  </si>
  <si>
    <t xml:space="preserve">   Total INTEREST EXPENSE</t>
  </si>
  <si>
    <t xml:space="preserve">      LOC Liberty Bell 3501</t>
  </si>
  <si>
    <t xml:space="preserve">   INTEREST EXPENSE</t>
  </si>
  <si>
    <t xml:space="preserve">   Total INSURANCE</t>
  </si>
  <si>
    <t xml:space="preserve">      GENERAL LIABILITY INSURANCE</t>
  </si>
  <si>
    <t xml:space="preserve">      DIRECTOR &amp; OFFICERS INSURANCE</t>
  </si>
  <si>
    <t xml:space="preserve">      BONDING INSURANCE</t>
  </si>
  <si>
    <t xml:space="preserve">   INSURANCE</t>
  </si>
  <si>
    <t xml:space="preserve">   GAMES OF CHANCE PERMIT</t>
  </si>
  <si>
    <t xml:space="preserve">   Total CORPORATION FEES</t>
  </si>
  <si>
    <t xml:space="preserve">      Licenses &amp; Permits (deleted)</t>
  </si>
  <si>
    <t xml:space="preserve">   CORPORATION FEES</t>
  </si>
  <si>
    <t xml:space="preserve">   Total BEACHES</t>
  </si>
  <si>
    <t xml:space="preserve">      WATER TESTING</t>
  </si>
  <si>
    <t xml:space="preserve">      PORTABLE TOILETS</t>
  </si>
  <si>
    <t xml:space="preserve">      BEACH SUPPLIES</t>
  </si>
  <si>
    <t xml:space="preserve">      BEACH MAINTENANCE - 1</t>
  </si>
  <si>
    <t xml:space="preserve">      BEACH MAINTENANCE</t>
  </si>
  <si>
    <t xml:space="preserve">   BEACHES</t>
  </si>
  <si>
    <t xml:space="preserve">   Total BANK SERVICE CHARGE</t>
  </si>
  <si>
    <t xml:space="preserve">      Total RETURNED CHARGEBACK</t>
  </si>
  <si>
    <t xml:space="preserve">         RETURN CHECK FEE</t>
  </si>
  <si>
    <t xml:space="preserve">      RETURNED CHARGEBACK</t>
  </si>
  <si>
    <t xml:space="preserve">   BANK SERVICE CHARGE</t>
  </si>
  <si>
    <t xml:space="preserve">   BAD DEBT EXPENSE</t>
  </si>
  <si>
    <t>Expenditures</t>
  </si>
  <si>
    <t>Gross Profit</t>
  </si>
  <si>
    <t>Total Revenue</t>
  </si>
  <si>
    <t xml:space="preserve">   UNAPPLIED CASH PAYMENT INCOME</t>
  </si>
  <si>
    <t xml:space="preserve">   TIER 3 DAM FEE</t>
  </si>
  <si>
    <t xml:space="preserve">   TIER 3 ASSOCIATION FEE</t>
  </si>
  <si>
    <t xml:space="preserve">   TIER 2 DAM FEE</t>
  </si>
  <si>
    <t xml:space="preserve">   TIER 2 DAM</t>
  </si>
  <si>
    <t xml:space="preserve">   TIER 2 ASSOCIATION FEE</t>
  </si>
  <si>
    <t xml:space="preserve">   TIER 1 DAM FEE</t>
  </si>
  <si>
    <t xml:space="preserve">   TIER 1 ASSOCIATION FEE</t>
  </si>
  <si>
    <t xml:space="preserve">   Total OTHER INCOME</t>
  </si>
  <si>
    <t xml:space="preserve">      Total FUNDRAISING</t>
  </si>
  <si>
    <t xml:space="preserve">         BONFIRE (SHIRT/HAT) FUNDRAISING</t>
  </si>
  <si>
    <t xml:space="preserve">      FUNDRAISING</t>
  </si>
  <si>
    <t xml:space="preserve">      DONATION</t>
  </si>
  <si>
    <t xml:space="preserve">      ASSOCIATION FEE</t>
  </si>
  <si>
    <t xml:space="preserve">      2020 SPECIAL ASSESSMENT</t>
  </si>
  <si>
    <t xml:space="preserve">   OTHER INCOME</t>
  </si>
  <si>
    <t xml:space="preserve">   LATE FEES</t>
  </si>
  <si>
    <t>Revenue</t>
  </si>
  <si>
    <t>Total</t>
  </si>
  <si>
    <t>Sep 2024</t>
  </si>
  <si>
    <t>Statement of Activity</t>
  </si>
  <si>
    <t>91 and over</t>
  </si>
  <si>
    <t>61 - 90</t>
  </si>
  <si>
    <t>31 - 60</t>
  </si>
  <si>
    <t>1 - 30</t>
  </si>
  <si>
    <t>Current</t>
  </si>
  <si>
    <t>As of September 30, 2024</t>
  </si>
  <si>
    <t>A/R Aging Summary</t>
  </si>
  <si>
    <t>Wednesday, Oct 02, 2024 10:00:23 AM GMT-7 - Cash Basis</t>
  </si>
  <si>
    <t>Jan - Sep, 2024 (YTD)</t>
  </si>
  <si>
    <t>HILL WALLACK
8566168080</t>
  </si>
  <si>
    <t>C:\Users\colli\OneDrive\October 7, 2024 Meeting.docx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</si>
</sst>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\$* #,##0.00"/>
    <numFmt numFmtId="165" formatCode="&quot;$&quot;* #,##0.00\ _€"/>
    <numFmt numFmtId="166" formatCode="#,##0.00\ _€"/>
    <numFmt numFmtId="167" formatCode="mm/dd/yy;@"/>
  </numFmts>
  <fonts count="21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8"/>
      <color indexed="8"/>
      <name val="Arial"/>
    </font>
    <font>
      <b/>
      <sz val="8"/>
      <color indexed="8"/>
      <name val="Arial"/>
    </font>
    <font>
      <b/>
      <sz val="9"/>
      <color indexed="8"/>
      <name val="Arial"/>
    </font>
    <font>
      <b/>
      <sz val="10"/>
      <color indexed="8"/>
      <name val="Arial"/>
    </font>
    <font>
      <b/>
      <sz val="14"/>
      <color indexed="8"/>
      <name val="Arial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1"/>
    <xf numFmtId="0" fontId="2" fillId="0" borderId="0"/>
    <xf numFmtId="0" fontId="2" fillId="0" borderId="2"/>
    <xf numFmtId="0" fontId="8" fillId="0" borderId="0"/>
    <xf numFmtId="0" fontId="20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7" fillId="0" borderId="1" xfId="2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164" fontId="4" fillId="0" borderId="2" xfId="0" applyNumberFormat="1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8" fillId="0" borderId="0" xfId="5"/>
    <xf numFmtId="165" fontId="10" fillId="0" borderId="2" xfId="5" applyNumberFormat="1" applyFont="1" applyBorder="1" applyAlignment="1">
      <alignment horizontal="right" wrapText="1"/>
    </xf>
    <xf numFmtId="0" fontId="10" fillId="0" borderId="0" xfId="5" applyFont="1" applyAlignment="1">
      <alignment horizontal="left" wrapText="1"/>
    </xf>
    <xf numFmtId="166" fontId="9" fillId="0" borderId="0" xfId="5" applyNumberFormat="1" applyFont="1" applyAlignment="1">
      <alignment horizontal="right" wrapText="1"/>
    </xf>
    <xf numFmtId="0" fontId="9" fillId="0" borderId="0" xfId="5" applyFont="1" applyAlignment="1">
      <alignment horizontal="right" wrapText="1"/>
    </xf>
    <xf numFmtId="0" fontId="9" fillId="0" borderId="0" xfId="5" applyFont="1" applyAlignment="1">
      <alignment horizontal="left" wrapText="1"/>
    </xf>
    <xf numFmtId="0" fontId="11" fillId="0" borderId="1" xfId="5" applyFont="1" applyBorder="1" applyAlignment="1">
      <alignment horizontal="center" wrapText="1"/>
    </xf>
    <xf numFmtId="0" fontId="14" fillId="0" borderId="1" xfId="0" applyFont="1" applyBorder="1"/>
    <xf numFmtId="167" fontId="0" fillId="0" borderId="0" xfId="0" applyNumberFormat="1"/>
    <xf numFmtId="44" fontId="0" fillId="0" borderId="0" xfId="1" applyFont="1"/>
    <xf numFmtId="44" fontId="0" fillId="0" borderId="0" xfId="1" applyFont="1" applyFill="1"/>
    <xf numFmtId="166" fontId="15" fillId="0" borderId="0" xfId="5" applyNumberFormat="1" applyFont="1" applyAlignment="1">
      <alignment wrapText="1"/>
    </xf>
    <xf numFmtId="0" fontId="16" fillId="0" borderId="0" xfId="5" applyFont="1" applyAlignment="1">
      <alignment horizontal="left" wrapText="1"/>
    </xf>
    <xf numFmtId="165" fontId="16" fillId="0" borderId="2" xfId="5" applyNumberFormat="1" applyFont="1" applyBorder="1" applyAlignment="1">
      <alignment horizontal="right" wrapText="1"/>
    </xf>
    <xf numFmtId="166" fontId="15" fillId="0" borderId="0" xfId="5" applyNumberFormat="1" applyFont="1" applyAlignment="1">
      <alignment horizontal="right" wrapText="1"/>
    </xf>
    <xf numFmtId="0" fontId="17" fillId="0" borderId="1" xfId="5" applyFont="1" applyBorder="1" applyAlignment="1">
      <alignment horizontal="center" wrapText="1"/>
    </xf>
    <xf numFmtId="0" fontId="8" fillId="0" borderId="0" xfId="5" applyAlignment="1">
      <alignment wrapText="1"/>
    </xf>
    <xf numFmtId="0" fontId="17" fillId="0" borderId="3" xfId="5" applyFont="1" applyBorder="1" applyAlignment="1">
      <alignment horizontal="center" wrapText="1"/>
    </xf>
    <xf numFmtId="14" fontId="8" fillId="0" borderId="0" xfId="5" applyNumberFormat="1"/>
    <xf numFmtId="14" fontId="9" fillId="0" borderId="0" xfId="5" applyNumberFormat="1" applyFont="1" applyAlignment="1">
      <alignment horizontal="left" wrapText="1"/>
    </xf>
    <xf numFmtId="14" fontId="15" fillId="0" borderId="0" xfId="5" applyNumberFormat="1" applyFont="1" applyAlignment="1">
      <alignment horizontal="left" wrapText="1"/>
    </xf>
    <xf numFmtId="0" fontId="15" fillId="0" borderId="0" xfId="5" applyFont="1" applyAlignment="1">
      <alignment horizontal="left" wrapText="1"/>
    </xf>
    <xf numFmtId="0" fontId="15" fillId="0" borderId="0" xfId="5" applyFont="1" applyAlignment="1">
      <alignment horizontal="right" wrapText="1"/>
    </xf>
    <xf numFmtId="0" fontId="16" fillId="0" borderId="0" xfId="5" applyFont="1" applyBorder="1" applyAlignment="1">
      <alignment horizontal="left" wrapText="1"/>
    </xf>
    <xf numFmtId="0" fontId="16" fillId="0" borderId="4" xfId="5" applyFont="1" applyBorder="1" applyAlignment="1">
      <alignment horizontal="left" wrapText="1"/>
    </xf>
    <xf numFmtId="165" fontId="16" fillId="0" borderId="5" xfId="5" applyNumberFormat="1" applyFont="1" applyBorder="1" applyAlignment="1">
      <alignment horizontal="right" wrapText="1"/>
    </xf>
    <xf numFmtId="0" fontId="17" fillId="0" borderId="1" xfId="5" applyFont="1" applyBorder="1" applyAlignment="1">
      <alignment horizontal="center" wrapText="1"/>
    </xf>
    <xf numFmtId="0" fontId="8" fillId="0" borderId="0" xfId="5" applyAlignment="1">
      <alignment wrapText="1"/>
    </xf>
    <xf numFmtId="0" fontId="15" fillId="0" borderId="0" xfId="5" applyFont="1" applyAlignment="1">
      <alignment horizontal="center"/>
    </xf>
    <xf numFmtId="0" fontId="8" fillId="0" borderId="0" xfId="5"/>
    <xf numFmtId="0" fontId="19" fillId="0" borderId="0" xfId="5" applyFont="1" applyAlignment="1">
      <alignment horizontal="center"/>
    </xf>
    <xf numFmtId="0" fontId="18" fillId="0" borderId="0" xfId="5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3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20" fillId="0" borderId="0" xfId="6" applyAlignment="1">
      <alignment wrapText="1"/>
    </xf>
  </cellXfs>
  <cellStyles count="7">
    <cellStyle name="Currency" xfId="1" builtinId="4"/>
    <cellStyle name="GroupedCellStyle" xfId="3" xr:uid="{00000000-0005-0000-0000-000007000000}"/>
    <cellStyle name="HeaderCellStyle" xfId="2" xr:uid="{00000000-0005-0000-0000-000006000000}"/>
    <cellStyle name="Hyperlink" xfId="6" builtinId="8"/>
    <cellStyle name="Normal" xfId="0" builtinId="0"/>
    <cellStyle name="Normal 2" xfId="5" xr:uid="{A8851DCF-381A-4BA7-8914-CFCBF1A098A6}"/>
    <cellStyle name="TotalCellStyle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colli\OneDrive\October%207,%202024%20Meeting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7A63-6135-494E-BBB7-FA5484EE8ED2}">
  <dimension ref="A1:C103"/>
  <sheetViews>
    <sheetView tabSelected="1" zoomScaleNormal="100" workbookViewId="0">
      <selection activeCell="A5" sqref="A5"/>
    </sheetView>
  </sheetViews>
  <sheetFormatPr defaultColWidth="9" defaultRowHeight="14.4" x14ac:dyDescent="0.3"/>
  <cols>
    <col min="1" max="1" width="33.09765625" style="8" customWidth="1"/>
    <col min="2" max="3" width="16.5" style="8" customWidth="1"/>
    <col min="4" max="16384" width="9" style="8"/>
  </cols>
  <sheetData>
    <row r="1" spans="1:3" ht="17.399999999999999" x14ac:dyDescent="0.3">
      <c r="A1" s="38" t="s">
        <v>0</v>
      </c>
      <c r="B1" s="37"/>
      <c r="C1" s="37"/>
    </row>
    <row r="2" spans="1:3" ht="17.399999999999999" x14ac:dyDescent="0.3">
      <c r="A2" s="38" t="s">
        <v>171</v>
      </c>
      <c r="B2" s="37"/>
      <c r="C2" s="37"/>
    </row>
    <row r="3" spans="1:3" x14ac:dyDescent="0.3">
      <c r="A3" s="39" t="s">
        <v>2</v>
      </c>
      <c r="B3" s="37"/>
      <c r="C3" s="37"/>
    </row>
    <row r="5" spans="1:3" ht="31.2" x14ac:dyDescent="0.3">
      <c r="A5" s="46" t="s">
        <v>182</v>
      </c>
      <c r="B5" s="34" t="s">
        <v>169</v>
      </c>
      <c r="C5" s="35"/>
    </row>
    <row r="6" spans="1:3" x14ac:dyDescent="0.3">
      <c r="A6" s="24"/>
      <c r="B6" s="23" t="s">
        <v>170</v>
      </c>
      <c r="C6" s="25" t="s">
        <v>180</v>
      </c>
    </row>
    <row r="7" spans="1:3" x14ac:dyDescent="0.3">
      <c r="A7" s="20" t="s">
        <v>168</v>
      </c>
      <c r="B7" s="19"/>
      <c r="C7" s="19"/>
    </row>
    <row r="8" spans="1:3" x14ac:dyDescent="0.3">
      <c r="A8" s="20" t="s">
        <v>167</v>
      </c>
      <c r="B8" s="22">
        <f>5323.51</f>
        <v>5323.51</v>
      </c>
      <c r="C8" s="22">
        <f>41559.22</f>
        <v>41559.22</v>
      </c>
    </row>
    <row r="9" spans="1:3" x14ac:dyDescent="0.3">
      <c r="A9" s="20" t="s">
        <v>166</v>
      </c>
      <c r="B9" s="19"/>
      <c r="C9" s="22">
        <f>410.16</f>
        <v>410.16</v>
      </c>
    </row>
    <row r="10" spans="1:3" x14ac:dyDescent="0.3">
      <c r="A10" s="20" t="s">
        <v>165</v>
      </c>
      <c r="B10" s="22">
        <f>20</f>
        <v>20</v>
      </c>
      <c r="C10" s="22">
        <f>120</f>
        <v>120</v>
      </c>
    </row>
    <row r="11" spans="1:3" x14ac:dyDescent="0.3">
      <c r="A11" s="20" t="s">
        <v>164</v>
      </c>
      <c r="B11" s="22">
        <f>480</f>
        <v>480</v>
      </c>
      <c r="C11" s="22">
        <f>3156.84</f>
        <v>3156.84</v>
      </c>
    </row>
    <row r="12" spans="1:3" x14ac:dyDescent="0.3">
      <c r="A12" s="20" t="s">
        <v>163</v>
      </c>
      <c r="B12" s="19"/>
      <c r="C12" s="22">
        <f>29.64</f>
        <v>29.64</v>
      </c>
    </row>
    <row r="13" spans="1:3" x14ac:dyDescent="0.3">
      <c r="A13" s="20" t="s">
        <v>162</v>
      </c>
      <c r="B13" s="22">
        <f>24.98</f>
        <v>24.98</v>
      </c>
      <c r="C13" s="22">
        <f>174.98</f>
        <v>174.98</v>
      </c>
    </row>
    <row r="14" spans="1:3" x14ac:dyDescent="0.3">
      <c r="A14" s="20" t="s">
        <v>161</v>
      </c>
      <c r="B14" s="19"/>
      <c r="C14" s="22">
        <f>25.17</f>
        <v>25.17</v>
      </c>
    </row>
    <row r="15" spans="1:3" x14ac:dyDescent="0.3">
      <c r="A15" s="20" t="s">
        <v>160</v>
      </c>
      <c r="B15" s="21">
        <f>(B13)+(B14)</f>
        <v>24.98</v>
      </c>
      <c r="C15" s="21">
        <f>(C13)+(C14)</f>
        <v>200.14999999999998</v>
      </c>
    </row>
    <row r="16" spans="1:3" x14ac:dyDescent="0.3">
      <c r="A16" s="20" t="s">
        <v>159</v>
      </c>
      <c r="B16" s="21">
        <f>((((B9)+(B10))+(B11))+(B12))+(B15)</f>
        <v>524.98</v>
      </c>
      <c r="C16" s="21">
        <f>((((C9)+(C10))+(C11))+(C12))+(C15)</f>
        <v>3916.79</v>
      </c>
    </row>
    <row r="17" spans="1:3" x14ac:dyDescent="0.3">
      <c r="A17" s="20" t="s">
        <v>158</v>
      </c>
      <c r="B17" s="22">
        <f>105.53</f>
        <v>105.53</v>
      </c>
      <c r="C17" s="22">
        <f>15649.72</f>
        <v>15649.72</v>
      </c>
    </row>
    <row r="18" spans="1:3" x14ac:dyDescent="0.3">
      <c r="A18" s="20" t="s">
        <v>157</v>
      </c>
      <c r="B18" s="22">
        <f>414.22</f>
        <v>414.22</v>
      </c>
      <c r="C18" s="22">
        <f>61421.02</f>
        <v>61421.02</v>
      </c>
    </row>
    <row r="19" spans="1:3" x14ac:dyDescent="0.3">
      <c r="A19" s="20" t="s">
        <v>156</v>
      </c>
      <c r="B19" s="22">
        <f>1889.81</f>
        <v>1889.81</v>
      </c>
      <c r="C19" s="22">
        <f>73769.12</f>
        <v>73769.119999999995</v>
      </c>
    </row>
    <row r="20" spans="1:3" x14ac:dyDescent="0.3">
      <c r="A20" s="20" t="s">
        <v>155</v>
      </c>
      <c r="B20" s="22">
        <f>507.81</f>
        <v>507.81</v>
      </c>
      <c r="C20" s="22">
        <f>507.81</f>
        <v>507.81</v>
      </c>
    </row>
    <row r="21" spans="1:3" x14ac:dyDescent="0.3">
      <c r="A21" s="20" t="s">
        <v>154</v>
      </c>
      <c r="B21" s="22">
        <f>6142.65</f>
        <v>6142.65</v>
      </c>
      <c r="C21" s="22">
        <f>278349.51</f>
        <v>278349.51</v>
      </c>
    </row>
    <row r="22" spans="1:3" x14ac:dyDescent="0.3">
      <c r="A22" s="20" t="s">
        <v>153</v>
      </c>
      <c r="B22" s="22">
        <f>103.22</f>
        <v>103.22</v>
      </c>
      <c r="C22" s="22">
        <f>10694.12</f>
        <v>10694.12</v>
      </c>
    </row>
    <row r="23" spans="1:3" x14ac:dyDescent="0.3">
      <c r="A23" s="20" t="s">
        <v>152</v>
      </c>
      <c r="B23" s="22">
        <f>393.57</f>
        <v>393.57</v>
      </c>
      <c r="C23" s="22">
        <f>39942.12</f>
        <v>39942.120000000003</v>
      </c>
    </row>
    <row r="24" spans="1:3" x14ac:dyDescent="0.3">
      <c r="A24" s="20" t="s">
        <v>151</v>
      </c>
      <c r="B24" s="22">
        <f>-872.98</f>
        <v>-872.98</v>
      </c>
      <c r="C24" s="22">
        <f>13419.08</f>
        <v>13419.08</v>
      </c>
    </row>
    <row r="25" spans="1:3" x14ac:dyDescent="0.3">
      <c r="A25" s="31" t="s">
        <v>150</v>
      </c>
      <c r="B25" s="21">
        <f>(((((((((B8)+(B16))+(B17))+(B18))+(B19))+(B20))+(B21))+(B22))+(B23))+(B24)</f>
        <v>14532.319999999998</v>
      </c>
      <c r="C25" s="21">
        <f>(((((((((C8)+(C16))+(C17))+(C18))+(C19))+(C20))+(C21))+(C22))+(C23))+(C24)</f>
        <v>539228.51</v>
      </c>
    </row>
    <row r="26" spans="1:3" ht="15" thickBot="1" x14ac:dyDescent="0.35">
      <c r="A26" s="32" t="s">
        <v>149</v>
      </c>
      <c r="B26" s="33">
        <f>(B25)-(0)</f>
        <v>14532.319999999998</v>
      </c>
      <c r="C26" s="33">
        <f>(C25)-(0)</f>
        <v>539228.51</v>
      </c>
    </row>
    <row r="27" spans="1:3" x14ac:dyDescent="0.3">
      <c r="A27" s="20" t="s">
        <v>148</v>
      </c>
      <c r="B27" s="19"/>
      <c r="C27" s="19"/>
    </row>
    <row r="28" spans="1:3" x14ac:dyDescent="0.3">
      <c r="A28" s="20" t="s">
        <v>147</v>
      </c>
      <c r="B28" s="22">
        <f>740.24</f>
        <v>740.24</v>
      </c>
      <c r="C28" s="22">
        <f>7316.14</f>
        <v>7316.14</v>
      </c>
    </row>
    <row r="29" spans="1:3" x14ac:dyDescent="0.3">
      <c r="A29" s="20" t="s">
        <v>146</v>
      </c>
      <c r="B29" s="19"/>
      <c r="C29" s="22">
        <f>12.65</f>
        <v>12.65</v>
      </c>
    </row>
    <row r="30" spans="1:3" x14ac:dyDescent="0.3">
      <c r="A30" s="20" t="s">
        <v>145</v>
      </c>
      <c r="B30" s="19"/>
      <c r="C30" s="19"/>
    </row>
    <row r="31" spans="1:3" x14ac:dyDescent="0.3">
      <c r="A31" s="20" t="s">
        <v>144</v>
      </c>
      <c r="B31" s="19"/>
      <c r="C31" s="22">
        <f>225</f>
        <v>225</v>
      </c>
    </row>
    <row r="32" spans="1:3" x14ac:dyDescent="0.3">
      <c r="A32" s="20" t="s">
        <v>143</v>
      </c>
      <c r="B32" s="21">
        <f>(B30)+(B31)</f>
        <v>0</v>
      </c>
      <c r="C32" s="21">
        <f>(C30)+(C31)</f>
        <v>225</v>
      </c>
    </row>
    <row r="33" spans="1:3" x14ac:dyDescent="0.3">
      <c r="A33" s="20" t="s">
        <v>142</v>
      </c>
      <c r="B33" s="21">
        <f>(B29)+(B32)</f>
        <v>0</v>
      </c>
      <c r="C33" s="21">
        <f>(C29)+(C32)</f>
        <v>237.65</v>
      </c>
    </row>
    <row r="34" spans="1:3" x14ac:dyDescent="0.3">
      <c r="A34" s="20" t="s">
        <v>141</v>
      </c>
      <c r="B34" s="19"/>
      <c r="C34" s="19"/>
    </row>
    <row r="35" spans="1:3" x14ac:dyDescent="0.3">
      <c r="A35" s="20" t="s">
        <v>140</v>
      </c>
      <c r="B35" s="19"/>
      <c r="C35" s="22">
        <f>1745.28</f>
        <v>1745.28</v>
      </c>
    </row>
    <row r="36" spans="1:3" x14ac:dyDescent="0.3">
      <c r="A36" s="20" t="s">
        <v>139</v>
      </c>
      <c r="B36" s="19"/>
      <c r="C36" s="22">
        <f>35.44</f>
        <v>35.44</v>
      </c>
    </row>
    <row r="37" spans="1:3" x14ac:dyDescent="0.3">
      <c r="A37" s="20" t="s">
        <v>138</v>
      </c>
      <c r="B37" s="19"/>
      <c r="C37" s="22">
        <f>570.12</f>
        <v>570.12</v>
      </c>
    </row>
    <row r="38" spans="1:3" x14ac:dyDescent="0.3">
      <c r="A38" s="20" t="s">
        <v>137</v>
      </c>
      <c r="B38" s="19"/>
      <c r="C38" s="22">
        <f>350</f>
        <v>350</v>
      </c>
    </row>
    <row r="39" spans="1:3" x14ac:dyDescent="0.3">
      <c r="A39" s="20" t="s">
        <v>136</v>
      </c>
      <c r="B39" s="19"/>
      <c r="C39" s="22">
        <f>837</f>
        <v>837</v>
      </c>
    </row>
    <row r="40" spans="1:3" x14ac:dyDescent="0.3">
      <c r="A40" s="20" t="s">
        <v>135</v>
      </c>
      <c r="B40" s="21">
        <f>(((((B34)+(B35))+(B36))+(B37))+(B38))+(B39)</f>
        <v>0</v>
      </c>
      <c r="C40" s="21">
        <f>(((((C34)+(C35))+(C36))+(C37))+(C38))+(C39)</f>
        <v>3537.84</v>
      </c>
    </row>
    <row r="41" spans="1:3" x14ac:dyDescent="0.3">
      <c r="A41" s="20" t="s">
        <v>134</v>
      </c>
      <c r="B41" s="19"/>
      <c r="C41" s="19"/>
    </row>
    <row r="42" spans="1:3" x14ac:dyDescent="0.3">
      <c r="A42" s="20" t="s">
        <v>133</v>
      </c>
      <c r="B42" s="19"/>
      <c r="C42" s="22">
        <f>30.5</f>
        <v>30.5</v>
      </c>
    </row>
    <row r="43" spans="1:3" x14ac:dyDescent="0.3">
      <c r="A43" s="20" t="s">
        <v>132</v>
      </c>
      <c r="B43" s="21">
        <f>(B41)+(B42)</f>
        <v>0</v>
      </c>
      <c r="C43" s="21">
        <f>(C41)+(C42)</f>
        <v>30.5</v>
      </c>
    </row>
    <row r="44" spans="1:3" x14ac:dyDescent="0.3">
      <c r="A44" s="20" t="s">
        <v>131</v>
      </c>
      <c r="B44" s="19"/>
      <c r="C44" s="22">
        <f>100</f>
        <v>100</v>
      </c>
    </row>
    <row r="45" spans="1:3" x14ac:dyDescent="0.3">
      <c r="A45" s="20" t="s">
        <v>130</v>
      </c>
      <c r="B45" s="19"/>
      <c r="C45" s="19"/>
    </row>
    <row r="46" spans="1:3" x14ac:dyDescent="0.3">
      <c r="A46" s="20" t="s">
        <v>129</v>
      </c>
      <c r="B46" s="19"/>
      <c r="C46" s="22">
        <f>409</f>
        <v>409</v>
      </c>
    </row>
    <row r="47" spans="1:3" x14ac:dyDescent="0.3">
      <c r="A47" s="20" t="s">
        <v>128</v>
      </c>
      <c r="B47" s="19"/>
      <c r="C47" s="22">
        <f>4505</f>
        <v>4505</v>
      </c>
    </row>
    <row r="48" spans="1:3" x14ac:dyDescent="0.3">
      <c r="A48" s="20" t="s">
        <v>127</v>
      </c>
      <c r="B48" s="19"/>
      <c r="C48" s="22">
        <f>31546.95</f>
        <v>31546.95</v>
      </c>
    </row>
    <row r="49" spans="1:3" x14ac:dyDescent="0.3">
      <c r="A49" s="20" t="s">
        <v>126</v>
      </c>
      <c r="B49" s="21">
        <f>(((B45)+(B46))+(B47))+(B48)</f>
        <v>0</v>
      </c>
      <c r="C49" s="21">
        <f>(((C45)+(C46))+(C47))+(C48)</f>
        <v>36460.949999999997</v>
      </c>
    </row>
    <row r="50" spans="1:3" x14ac:dyDescent="0.3">
      <c r="A50" s="20" t="s">
        <v>125</v>
      </c>
      <c r="B50" s="19"/>
      <c r="C50" s="19"/>
    </row>
    <row r="51" spans="1:3" x14ac:dyDescent="0.3">
      <c r="A51" s="20" t="s">
        <v>124</v>
      </c>
      <c r="B51" s="22">
        <f>599.37</f>
        <v>599.37</v>
      </c>
      <c r="C51" s="22">
        <f>5297.88</f>
        <v>5297.88</v>
      </c>
    </row>
    <row r="52" spans="1:3" x14ac:dyDescent="0.3">
      <c r="A52" s="20" t="s">
        <v>123</v>
      </c>
      <c r="B52" s="21">
        <f>(B50)+(B51)</f>
        <v>599.37</v>
      </c>
      <c r="C52" s="21">
        <f>(C50)+(C51)</f>
        <v>5297.88</v>
      </c>
    </row>
    <row r="53" spans="1:3" x14ac:dyDescent="0.3">
      <c r="A53" s="20" t="s">
        <v>122</v>
      </c>
      <c r="B53" s="22">
        <f>285</f>
        <v>285</v>
      </c>
      <c r="C53" s="22">
        <f>285</f>
        <v>285</v>
      </c>
    </row>
    <row r="54" spans="1:3" x14ac:dyDescent="0.3">
      <c r="A54" s="20" t="s">
        <v>121</v>
      </c>
      <c r="B54" s="22">
        <f>19.33</f>
        <v>19.329999999999998</v>
      </c>
      <c r="C54" s="22">
        <f>19.33</f>
        <v>19.329999999999998</v>
      </c>
    </row>
    <row r="55" spans="1:3" x14ac:dyDescent="0.3">
      <c r="A55" s="20" t="s">
        <v>120</v>
      </c>
      <c r="B55" s="19"/>
      <c r="C55" s="19"/>
    </row>
    <row r="56" spans="1:3" x14ac:dyDescent="0.3">
      <c r="A56" s="20" t="s">
        <v>119</v>
      </c>
      <c r="B56" s="19"/>
      <c r="C56" s="22">
        <f>1828.54</f>
        <v>1828.54</v>
      </c>
    </row>
    <row r="57" spans="1:3" x14ac:dyDescent="0.3">
      <c r="A57" s="20" t="s">
        <v>118</v>
      </c>
      <c r="B57" s="22">
        <f>34.1</f>
        <v>34.1</v>
      </c>
      <c r="C57" s="22">
        <f>153.45</f>
        <v>153.44999999999999</v>
      </c>
    </row>
    <row r="58" spans="1:3" x14ac:dyDescent="0.3">
      <c r="A58" s="20" t="s">
        <v>117</v>
      </c>
      <c r="B58" s="22">
        <f>2192.55</f>
        <v>2192.5500000000002</v>
      </c>
      <c r="C58" s="22">
        <f>2892.4</f>
        <v>2892.4</v>
      </c>
    </row>
    <row r="59" spans="1:3" x14ac:dyDescent="0.3">
      <c r="A59" s="20" t="s">
        <v>116</v>
      </c>
      <c r="B59" s="22">
        <f>269.7</f>
        <v>269.7</v>
      </c>
      <c r="C59" s="22">
        <f>269.7</f>
        <v>269.7</v>
      </c>
    </row>
    <row r="60" spans="1:3" x14ac:dyDescent="0.3">
      <c r="A60" s="20" t="s">
        <v>115</v>
      </c>
      <c r="B60" s="22">
        <f>235</f>
        <v>235</v>
      </c>
      <c r="C60" s="22">
        <f>1892.95</f>
        <v>1892.95</v>
      </c>
    </row>
    <row r="61" spans="1:3" x14ac:dyDescent="0.3">
      <c r="A61" s="20" t="s">
        <v>114</v>
      </c>
      <c r="B61" s="22">
        <f>307.58</f>
        <v>307.58</v>
      </c>
      <c r="C61" s="22">
        <f>2274.85</f>
        <v>2274.85</v>
      </c>
    </row>
    <row r="62" spans="1:3" x14ac:dyDescent="0.3">
      <c r="A62" s="20" t="s">
        <v>113</v>
      </c>
      <c r="B62" s="21">
        <f>((((((B55)+(B56))+(B57))+(B58))+(B59))+(B60))+(B61)</f>
        <v>3038.93</v>
      </c>
      <c r="C62" s="21">
        <f>((((((C55)+(C56))+(C57))+(C58))+(C59))+(C60))+(C61)</f>
        <v>9311.89</v>
      </c>
    </row>
    <row r="63" spans="1:3" x14ac:dyDescent="0.3">
      <c r="A63" s="20" t="s">
        <v>112</v>
      </c>
      <c r="B63" s="19"/>
      <c r="C63" s="19"/>
    </row>
    <row r="64" spans="1:3" x14ac:dyDescent="0.3">
      <c r="A64" s="20" t="s">
        <v>111</v>
      </c>
      <c r="B64" s="19"/>
      <c r="C64" s="22">
        <f>12.65</f>
        <v>12.65</v>
      </c>
    </row>
    <row r="65" spans="1:3" x14ac:dyDescent="0.3">
      <c r="A65" s="20" t="s">
        <v>110</v>
      </c>
      <c r="B65" s="19"/>
      <c r="C65" s="22">
        <f>575</f>
        <v>575</v>
      </c>
    </row>
    <row r="66" spans="1:3" x14ac:dyDescent="0.3">
      <c r="A66" s="20" t="s">
        <v>109</v>
      </c>
      <c r="B66" s="21">
        <f>((B63)+(B64))+(B65)</f>
        <v>0</v>
      </c>
      <c r="C66" s="21">
        <f>((C63)+(C64))+(C65)</f>
        <v>587.65</v>
      </c>
    </row>
    <row r="67" spans="1:3" x14ac:dyDescent="0.3">
      <c r="A67" s="20" t="s">
        <v>108</v>
      </c>
      <c r="B67" s="19"/>
      <c r="C67" s="19"/>
    </row>
    <row r="68" spans="1:3" x14ac:dyDescent="0.3">
      <c r="A68" s="20" t="s">
        <v>107</v>
      </c>
      <c r="B68" s="22">
        <f>562.5</f>
        <v>562.5</v>
      </c>
      <c r="C68" s="22">
        <f>30693.54</f>
        <v>30693.54</v>
      </c>
    </row>
    <row r="69" spans="1:3" x14ac:dyDescent="0.3">
      <c r="A69" s="20" t="s">
        <v>106</v>
      </c>
      <c r="B69" s="22">
        <f>21420.72</f>
        <v>21420.720000000001</v>
      </c>
      <c r="C69" s="22">
        <f>89486.85</f>
        <v>89486.85</v>
      </c>
    </row>
    <row r="70" spans="1:3" x14ac:dyDescent="0.3">
      <c r="A70" s="20" t="s">
        <v>105</v>
      </c>
      <c r="B70" s="22">
        <f>394</f>
        <v>394</v>
      </c>
      <c r="C70" s="22">
        <f>36991.77</f>
        <v>36991.769999999997</v>
      </c>
    </row>
    <row r="71" spans="1:3" x14ac:dyDescent="0.3">
      <c r="A71" s="20" t="s">
        <v>104</v>
      </c>
      <c r="B71" s="19"/>
      <c r="C71" s="22">
        <f>500</f>
        <v>500</v>
      </c>
    </row>
    <row r="72" spans="1:3" x14ac:dyDescent="0.3">
      <c r="A72" s="20" t="s">
        <v>103</v>
      </c>
      <c r="B72" s="21">
        <f>((((B67)+(B68))+(B69))+(B70))+(B71)</f>
        <v>22377.22</v>
      </c>
      <c r="C72" s="21">
        <f>((((C67)+(C68))+(C69))+(C70))+(C71)</f>
        <v>157672.16</v>
      </c>
    </row>
    <row r="73" spans="1:3" x14ac:dyDescent="0.3">
      <c r="A73" s="20" t="s">
        <v>102</v>
      </c>
      <c r="B73" s="19"/>
      <c r="C73" s="19"/>
    </row>
    <row r="74" spans="1:3" x14ac:dyDescent="0.3">
      <c r="A74" s="20" t="s">
        <v>101</v>
      </c>
      <c r="B74" s="19"/>
      <c r="C74" s="22">
        <f>0</f>
        <v>0</v>
      </c>
    </row>
    <row r="75" spans="1:3" x14ac:dyDescent="0.3">
      <c r="A75" s="20" t="s">
        <v>100</v>
      </c>
      <c r="B75" s="21">
        <f>(B73)+(B74)</f>
        <v>0</v>
      </c>
      <c r="C75" s="21">
        <f>(C73)+(C74)</f>
        <v>0</v>
      </c>
    </row>
    <row r="76" spans="1:3" x14ac:dyDescent="0.3">
      <c r="A76" s="20" t="s">
        <v>99</v>
      </c>
      <c r="B76" s="22">
        <f>-100</f>
        <v>-100</v>
      </c>
      <c r="C76" s="22">
        <f>-315</f>
        <v>-315</v>
      </c>
    </row>
    <row r="77" spans="1:3" x14ac:dyDescent="0.3">
      <c r="A77" s="20" t="s">
        <v>98</v>
      </c>
      <c r="B77" s="19"/>
      <c r="C77" s="22">
        <f>0</f>
        <v>0</v>
      </c>
    </row>
    <row r="78" spans="1:3" x14ac:dyDescent="0.3">
      <c r="A78" s="20" t="s">
        <v>97</v>
      </c>
      <c r="B78" s="19"/>
      <c r="C78" s="19"/>
    </row>
    <row r="79" spans="1:3" x14ac:dyDescent="0.3">
      <c r="A79" s="20" t="s">
        <v>96</v>
      </c>
      <c r="B79" s="22">
        <f>11.24</f>
        <v>11.24</v>
      </c>
      <c r="C79" s="22">
        <f>125.99</f>
        <v>125.99</v>
      </c>
    </row>
    <row r="80" spans="1:3" x14ac:dyDescent="0.3">
      <c r="A80" s="20" t="s">
        <v>95</v>
      </c>
      <c r="B80" s="21">
        <f>(B78)+(B79)</f>
        <v>11.24</v>
      </c>
      <c r="C80" s="21">
        <f>(C78)+(C79)</f>
        <v>125.99</v>
      </c>
    </row>
    <row r="81" spans="1:3" x14ac:dyDescent="0.3">
      <c r="A81" s="20" t="s">
        <v>94</v>
      </c>
      <c r="B81" s="21">
        <f>(((((((((((((((B28)+(B33))+(B40))+(B43))+(B44))+(B49))+(B52))+(B53))+(B54))+(B62))+(B66))+(B72))+(B75))+(B76))+(B77))+(B80)</f>
        <v>26971.33</v>
      </c>
      <c r="C81" s="21">
        <f>(((((((((((((((C28)+(C33))+(C40))+(C43))+(C44))+(C49))+(C52))+(C53))+(C54))+(C62))+(C66))+(C72))+(C75))+(C76))+(C77))+(C80)</f>
        <v>220667.97999999998</v>
      </c>
    </row>
    <row r="82" spans="1:3" x14ac:dyDescent="0.3">
      <c r="A82" s="20" t="s">
        <v>93</v>
      </c>
      <c r="B82" s="21">
        <f>(B26)-(B81)</f>
        <v>-12439.010000000004</v>
      </c>
      <c r="C82" s="21">
        <f>(C26)-(C81)</f>
        <v>318560.53000000003</v>
      </c>
    </row>
    <row r="83" spans="1:3" x14ac:dyDescent="0.3">
      <c r="A83" s="20" t="s">
        <v>92</v>
      </c>
      <c r="B83" s="19"/>
      <c r="C83" s="19"/>
    </row>
    <row r="84" spans="1:3" x14ac:dyDescent="0.3">
      <c r="A84" s="20" t="s">
        <v>91</v>
      </c>
      <c r="B84" s="19"/>
      <c r="C84" s="19"/>
    </row>
    <row r="85" spans="1:3" x14ac:dyDescent="0.3">
      <c r="A85" s="20" t="s">
        <v>90</v>
      </c>
      <c r="B85" s="19"/>
      <c r="C85" s="22">
        <f>945</f>
        <v>945</v>
      </c>
    </row>
    <row r="86" spans="1:3" x14ac:dyDescent="0.3">
      <c r="A86" s="20" t="s">
        <v>89</v>
      </c>
      <c r="B86" s="21">
        <f>(B84)+(B85)</f>
        <v>0</v>
      </c>
      <c r="C86" s="21">
        <f>(C84)+(C85)</f>
        <v>945</v>
      </c>
    </row>
    <row r="87" spans="1:3" x14ac:dyDescent="0.3">
      <c r="A87" s="20" t="s">
        <v>88</v>
      </c>
      <c r="B87" s="22">
        <f>1167.71</f>
        <v>1167.71</v>
      </c>
      <c r="C87" s="22">
        <f>4812.71</f>
        <v>4812.71</v>
      </c>
    </row>
    <row r="88" spans="1:3" x14ac:dyDescent="0.3">
      <c r="A88" s="20" t="s">
        <v>87</v>
      </c>
      <c r="B88" s="22">
        <f>16736.52</f>
        <v>16736.52</v>
      </c>
      <c r="C88" s="22">
        <f>89547.87</f>
        <v>89547.87</v>
      </c>
    </row>
    <row r="89" spans="1:3" x14ac:dyDescent="0.3">
      <c r="A89" s="20" t="s">
        <v>86</v>
      </c>
      <c r="B89" s="22">
        <f>250</f>
        <v>250</v>
      </c>
      <c r="C89" s="22">
        <f>1950</f>
        <v>1950</v>
      </c>
    </row>
    <row r="90" spans="1:3" x14ac:dyDescent="0.3">
      <c r="A90" s="20" t="s">
        <v>85</v>
      </c>
      <c r="B90" s="21">
        <f>(((B86)+(B87))+(B88))+(B89)</f>
        <v>18154.23</v>
      </c>
      <c r="C90" s="21">
        <f>(((C86)+(C87))+(C88))+(C89)</f>
        <v>97255.58</v>
      </c>
    </row>
    <row r="91" spans="1:3" x14ac:dyDescent="0.3">
      <c r="A91" s="20" t="s">
        <v>84</v>
      </c>
      <c r="B91" s="19"/>
      <c r="C91" s="19"/>
    </row>
    <row r="92" spans="1:3" x14ac:dyDescent="0.3">
      <c r="A92" s="20" t="s">
        <v>83</v>
      </c>
      <c r="B92" s="19"/>
      <c r="C92" s="22">
        <f>0</f>
        <v>0</v>
      </c>
    </row>
    <row r="93" spans="1:3" x14ac:dyDescent="0.3">
      <c r="A93" s="20" t="s">
        <v>82</v>
      </c>
      <c r="B93" s="22">
        <f>-352.34</f>
        <v>-352.34</v>
      </c>
      <c r="C93" s="22">
        <f>-352.34</f>
        <v>-352.34</v>
      </c>
    </row>
    <row r="94" spans="1:3" x14ac:dyDescent="0.3">
      <c r="A94" s="20" t="s">
        <v>81</v>
      </c>
      <c r="B94" s="19"/>
      <c r="C94" s="19"/>
    </row>
    <row r="95" spans="1:3" x14ac:dyDescent="0.3">
      <c r="A95" s="20" t="s">
        <v>80</v>
      </c>
      <c r="B95" s="19"/>
      <c r="C95" s="22">
        <f>115.1</f>
        <v>115.1</v>
      </c>
    </row>
    <row r="96" spans="1:3" x14ac:dyDescent="0.3">
      <c r="A96" s="20" t="s">
        <v>79</v>
      </c>
      <c r="B96" s="21">
        <f>(B94)+(B95)</f>
        <v>0</v>
      </c>
      <c r="C96" s="21">
        <f>(C94)+(C95)</f>
        <v>115.1</v>
      </c>
    </row>
    <row r="97" spans="1:3" x14ac:dyDescent="0.3">
      <c r="A97" s="20" t="s">
        <v>78</v>
      </c>
      <c r="B97" s="21">
        <f>((B92)+(B93))+(B96)</f>
        <v>-352.34</v>
      </c>
      <c r="C97" s="21">
        <f>((C92)+(C93))+(C96)</f>
        <v>-237.23999999999998</v>
      </c>
    </row>
    <row r="98" spans="1:3" x14ac:dyDescent="0.3">
      <c r="A98" s="20" t="s">
        <v>77</v>
      </c>
      <c r="B98" s="21">
        <f>(B90)-(B97)</f>
        <v>18506.57</v>
      </c>
      <c r="C98" s="21">
        <f>(C90)-(C97)</f>
        <v>97492.82</v>
      </c>
    </row>
    <row r="99" spans="1:3" x14ac:dyDescent="0.3">
      <c r="A99" s="20" t="s">
        <v>76</v>
      </c>
      <c r="B99" s="21">
        <f>(B82)+(B98)</f>
        <v>6067.5599999999959</v>
      </c>
      <c r="C99" s="21">
        <f>(C82)+(C98)</f>
        <v>416053.35000000003</v>
      </c>
    </row>
    <row r="100" spans="1:3" x14ac:dyDescent="0.3">
      <c r="A100" s="20"/>
      <c r="B100" s="19"/>
      <c r="C100" s="19"/>
    </row>
    <row r="103" spans="1:3" x14ac:dyDescent="0.3">
      <c r="A103" s="36" t="s">
        <v>179</v>
      </c>
      <c r="B103" s="37"/>
      <c r="C103" s="37"/>
    </row>
  </sheetData>
  <mergeCells count="5">
    <mergeCell ref="B5:C5"/>
    <mergeCell ref="A103:C103"/>
    <mergeCell ref="A1:C1"/>
    <mergeCell ref="A2:C2"/>
    <mergeCell ref="A3:C3"/>
  </mergeCells>
  <hyperlinks>
    <hyperlink ref="A5" r:id="rId1" xr:uid="{8901BD21-3659-4E25-87C7-B9809115209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B3FEF-A70D-B944-82F4-C9836B181100}">
  <dimension ref="A1:I37"/>
  <sheetViews>
    <sheetView view="pageBreakPreview" zoomScale="60" zoomScaleNormal="100" workbookViewId="0">
      <selection activeCell="D10" sqref="D10"/>
    </sheetView>
  </sheetViews>
  <sheetFormatPr defaultColWidth="11.19921875" defaultRowHeight="15.6" outlineLevelRow="1" x14ac:dyDescent="0.3"/>
  <cols>
    <col min="1" max="1" width="34.8984375" style="1" bestFit="1" customWidth="1"/>
    <col min="2" max="2" width="22.796875" style="1" bestFit="1" customWidth="1"/>
    <col min="3" max="3" width="8.796875" style="1" bestFit="1" customWidth="1"/>
    <col min="4" max="4" width="15.796875" style="1" bestFit="1" customWidth="1"/>
    <col min="5" max="5" width="6.09765625" style="1" bestFit="1" customWidth="1"/>
    <col min="6" max="6" width="8.09765625" style="1" bestFit="1" customWidth="1"/>
    <col min="7" max="7" width="32.09765625" style="1" bestFit="1" customWidth="1"/>
    <col min="8" max="8" width="16.8984375" style="1" bestFit="1" customWidth="1"/>
    <col min="9" max="9" width="10.296875" style="1" bestFit="1" customWidth="1"/>
  </cols>
  <sheetData>
    <row r="1" spans="1:9" x14ac:dyDescent="0.3">
      <c r="A1" s="40" t="s">
        <v>0</v>
      </c>
      <c r="B1" s="41"/>
      <c r="C1" s="41"/>
      <c r="D1" s="41"/>
      <c r="E1" s="41"/>
      <c r="F1" s="41"/>
      <c r="G1" s="41"/>
      <c r="H1" s="41"/>
    </row>
    <row r="2" spans="1:9" x14ac:dyDescent="0.3">
      <c r="A2" s="40" t="s">
        <v>1</v>
      </c>
      <c r="B2" s="41"/>
      <c r="C2" s="41"/>
      <c r="D2" s="41"/>
      <c r="E2" s="41"/>
      <c r="F2" s="41"/>
      <c r="G2" s="41"/>
      <c r="H2" s="41"/>
    </row>
    <row r="3" spans="1:9" x14ac:dyDescent="0.3">
      <c r="A3" s="42" t="s">
        <v>2</v>
      </c>
      <c r="B3" s="41"/>
      <c r="C3" s="41"/>
      <c r="D3" s="41"/>
      <c r="E3" s="41"/>
      <c r="F3" s="41"/>
      <c r="G3" s="41"/>
      <c r="H3" s="41"/>
    </row>
    <row r="5" spans="1:9" x14ac:dyDescent="0.3">
      <c r="B5" s="3" t="s">
        <v>48</v>
      </c>
      <c r="C5" s="3" t="s">
        <v>49</v>
      </c>
      <c r="D5" s="3" t="s">
        <v>50</v>
      </c>
      <c r="E5" s="3" t="s">
        <v>51</v>
      </c>
      <c r="F5" s="3" t="s">
        <v>52</v>
      </c>
      <c r="G5" s="3" t="s">
        <v>53</v>
      </c>
      <c r="H5" s="3" t="s">
        <v>54</v>
      </c>
      <c r="I5" s="3" t="s">
        <v>55</v>
      </c>
    </row>
    <row r="6" spans="1:9" x14ac:dyDescent="0.3">
      <c r="A6" s="6" t="s">
        <v>3</v>
      </c>
    </row>
    <row r="7" spans="1:9" outlineLevel="1" x14ac:dyDescent="0.3"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4">
        <v>-11.24</v>
      </c>
    </row>
    <row r="8" spans="1:9" x14ac:dyDescent="0.3">
      <c r="A8" s="7" t="s">
        <v>10</v>
      </c>
      <c r="I8" s="5">
        <v>-11.24</v>
      </c>
    </row>
    <row r="9" spans="1:9" x14ac:dyDescent="0.3">
      <c r="A9" s="6" t="s">
        <v>13</v>
      </c>
    </row>
    <row r="10" spans="1:9" outlineLevel="1" x14ac:dyDescent="0.3">
      <c r="B10" s="2" t="s">
        <v>13</v>
      </c>
      <c r="C10" s="2" t="s">
        <v>4</v>
      </c>
      <c r="D10" s="2" t="s">
        <v>5</v>
      </c>
      <c r="E10" s="2" t="s">
        <v>14</v>
      </c>
      <c r="F10" s="2" t="s">
        <v>7</v>
      </c>
      <c r="G10" s="2" t="s">
        <v>12</v>
      </c>
      <c r="H10" s="2" t="s">
        <v>9</v>
      </c>
      <c r="I10" s="4">
        <v>-21814.720000000001</v>
      </c>
    </row>
    <row r="11" spans="1:9" x14ac:dyDescent="0.3">
      <c r="A11" s="7" t="s">
        <v>15</v>
      </c>
      <c r="I11" s="5">
        <v>-21814.720000000001</v>
      </c>
    </row>
    <row r="12" spans="1:9" x14ac:dyDescent="0.3">
      <c r="A12" s="6" t="s">
        <v>16</v>
      </c>
    </row>
    <row r="13" spans="1:9" outlineLevel="1" x14ac:dyDescent="0.3">
      <c r="B13" s="2" t="s">
        <v>16</v>
      </c>
      <c r="C13" s="2" t="s">
        <v>4</v>
      </c>
      <c r="D13" s="2" t="s">
        <v>5</v>
      </c>
      <c r="E13" s="2" t="s">
        <v>14</v>
      </c>
      <c r="F13" s="2" t="s">
        <v>7</v>
      </c>
      <c r="G13" s="2" t="s">
        <v>12</v>
      </c>
      <c r="H13" s="2" t="s">
        <v>9</v>
      </c>
      <c r="I13" s="4">
        <v>-562.5</v>
      </c>
    </row>
    <row r="14" spans="1:9" x14ac:dyDescent="0.3">
      <c r="A14" s="7" t="s">
        <v>20</v>
      </c>
      <c r="I14" s="5">
        <v>112.5</v>
      </c>
    </row>
    <row r="15" spans="1:9" x14ac:dyDescent="0.3">
      <c r="A15" s="6" t="s">
        <v>21</v>
      </c>
    </row>
    <row r="16" spans="1:9" outlineLevel="1" x14ac:dyDescent="0.3">
      <c r="B16" s="2" t="s">
        <v>21</v>
      </c>
      <c r="C16" s="2" t="s">
        <v>22</v>
      </c>
      <c r="D16" s="2" t="s">
        <v>23</v>
      </c>
      <c r="E16" s="2" t="s">
        <v>24</v>
      </c>
      <c r="F16" s="2" t="s">
        <v>7</v>
      </c>
      <c r="G16" s="2" t="s">
        <v>24</v>
      </c>
      <c r="H16" s="2" t="s">
        <v>25</v>
      </c>
      <c r="I16" s="4">
        <v>-235</v>
      </c>
    </row>
    <row r="17" spans="1:9" x14ac:dyDescent="0.3">
      <c r="A17" s="7" t="s">
        <v>26</v>
      </c>
      <c r="I17" s="5">
        <v>-235</v>
      </c>
    </row>
    <row r="18" spans="1:9" x14ac:dyDescent="0.3">
      <c r="A18" s="6" t="s">
        <v>27</v>
      </c>
    </row>
    <row r="19" spans="1:9" outlineLevel="1" x14ac:dyDescent="0.3">
      <c r="B19" s="2" t="s">
        <v>27</v>
      </c>
      <c r="C19" s="2" t="s">
        <v>17</v>
      </c>
      <c r="D19" s="2" t="s">
        <v>28</v>
      </c>
      <c r="E19" s="2" t="s">
        <v>29</v>
      </c>
      <c r="F19" s="2" t="s">
        <v>7</v>
      </c>
      <c r="G19" s="2" t="s">
        <v>75</v>
      </c>
      <c r="H19" s="2" t="s">
        <v>9</v>
      </c>
      <c r="I19" s="4">
        <v>-19.329999999999998</v>
      </c>
    </row>
    <row r="20" spans="1:9" outlineLevel="1" x14ac:dyDescent="0.3">
      <c r="B20" s="2" t="s">
        <v>27</v>
      </c>
      <c r="C20" s="2" t="s">
        <v>30</v>
      </c>
      <c r="D20" s="2" t="s">
        <v>28</v>
      </c>
      <c r="E20" s="2" t="s">
        <v>31</v>
      </c>
      <c r="F20" s="2" t="s">
        <v>7</v>
      </c>
      <c r="G20" s="2" t="s">
        <v>12</v>
      </c>
      <c r="H20" s="2" t="s">
        <v>9</v>
      </c>
      <c r="I20" s="4">
        <v>-599.37</v>
      </c>
    </row>
    <row r="21" spans="1:9" x14ac:dyDescent="0.3">
      <c r="A21" s="7" t="s">
        <v>32</v>
      </c>
      <c r="I21" s="5">
        <v>-618.70000000000005</v>
      </c>
    </row>
    <row r="22" spans="1:9" x14ac:dyDescent="0.3">
      <c r="A22" s="6" t="s">
        <v>33</v>
      </c>
    </row>
    <row r="23" spans="1:9" outlineLevel="1" x14ac:dyDescent="0.3">
      <c r="B23" s="2" t="s">
        <v>33</v>
      </c>
      <c r="C23" s="2" t="s">
        <v>4</v>
      </c>
      <c r="D23" s="2" t="s">
        <v>5</v>
      </c>
      <c r="E23" s="2" t="s">
        <v>14</v>
      </c>
      <c r="F23" s="2" t="s">
        <v>7</v>
      </c>
      <c r="G23" s="2" t="s">
        <v>12</v>
      </c>
      <c r="H23" s="2" t="s">
        <v>9</v>
      </c>
      <c r="I23" s="4">
        <v>-285</v>
      </c>
    </row>
    <row r="24" spans="1:9" x14ac:dyDescent="0.3">
      <c r="A24" s="7" t="s">
        <v>34</v>
      </c>
      <c r="I24" s="5">
        <v>-285</v>
      </c>
    </row>
    <row r="25" spans="1:9" x14ac:dyDescent="0.3">
      <c r="A25" s="6" t="s">
        <v>39</v>
      </c>
    </row>
    <row r="26" spans="1:9" outlineLevel="1" x14ac:dyDescent="0.3">
      <c r="B26" s="2" t="s">
        <v>39</v>
      </c>
      <c r="C26" s="2" t="s">
        <v>19</v>
      </c>
      <c r="D26" s="2" t="s">
        <v>23</v>
      </c>
      <c r="E26" s="2" t="s">
        <v>12</v>
      </c>
      <c r="F26" s="2" t="s">
        <v>7</v>
      </c>
      <c r="G26" s="2" t="s">
        <v>40</v>
      </c>
      <c r="H26" s="2" t="s">
        <v>25</v>
      </c>
      <c r="I26" s="4">
        <v>-269.7</v>
      </c>
    </row>
    <row r="27" spans="1:9" x14ac:dyDescent="0.3">
      <c r="A27" s="7" t="s">
        <v>41</v>
      </c>
      <c r="I27" s="5">
        <v>-269.7</v>
      </c>
    </row>
    <row r="28" spans="1:9" x14ac:dyDescent="0.3">
      <c r="A28" s="6" t="s">
        <v>42</v>
      </c>
    </row>
    <row r="29" spans="1:9" outlineLevel="1" x14ac:dyDescent="0.3">
      <c r="B29" s="2" t="s">
        <v>42</v>
      </c>
      <c r="C29" s="2" t="s">
        <v>43</v>
      </c>
      <c r="D29" s="2" t="s">
        <v>23</v>
      </c>
      <c r="E29" s="2" t="s">
        <v>12</v>
      </c>
      <c r="F29" s="2" t="s">
        <v>7</v>
      </c>
      <c r="G29" s="2" t="s">
        <v>57</v>
      </c>
      <c r="H29" s="2" t="s">
        <v>25</v>
      </c>
      <c r="I29" s="4">
        <v>-2192.5500000000002</v>
      </c>
    </row>
    <row r="30" spans="1:9" x14ac:dyDescent="0.3">
      <c r="A30" s="7" t="s">
        <v>44</v>
      </c>
      <c r="I30" s="5">
        <v>-2192.5500000000002</v>
      </c>
    </row>
    <row r="31" spans="1:9" x14ac:dyDescent="0.3">
      <c r="A31" s="6" t="s">
        <v>45</v>
      </c>
    </row>
    <row r="32" spans="1:9" outlineLevel="1" x14ac:dyDescent="0.3">
      <c r="B32" s="2" t="s">
        <v>45</v>
      </c>
      <c r="C32" s="2" t="s">
        <v>17</v>
      </c>
      <c r="D32" s="2" t="s">
        <v>23</v>
      </c>
      <c r="E32" s="2" t="s">
        <v>29</v>
      </c>
      <c r="F32" s="2" t="s">
        <v>7</v>
      </c>
      <c r="G32" s="2" t="s">
        <v>12</v>
      </c>
      <c r="H32" s="2" t="s">
        <v>25</v>
      </c>
      <c r="I32" s="4">
        <v>-17.05</v>
      </c>
    </row>
    <row r="33" spans="1:9" outlineLevel="1" x14ac:dyDescent="0.3">
      <c r="B33" s="2" t="s">
        <v>45</v>
      </c>
      <c r="C33" s="2" t="s">
        <v>36</v>
      </c>
      <c r="D33" s="2" t="s">
        <v>23</v>
      </c>
      <c r="E33" s="2" t="s">
        <v>46</v>
      </c>
      <c r="F33" s="2" t="s">
        <v>7</v>
      </c>
      <c r="G33" s="2" t="s">
        <v>12</v>
      </c>
      <c r="H33" s="2" t="s">
        <v>25</v>
      </c>
      <c r="I33" s="4">
        <v>-17.05</v>
      </c>
    </row>
    <row r="34" spans="1:9" x14ac:dyDescent="0.3">
      <c r="A34" s="7" t="s">
        <v>47</v>
      </c>
      <c r="I34" s="5">
        <v>-34.1</v>
      </c>
    </row>
    <row r="35" spans="1:9" x14ac:dyDescent="0.3">
      <c r="I35" s="5">
        <f>I8+I11+I14+I17+I21+I24+I27+I30+I34</f>
        <v>-25348.510000000002</v>
      </c>
    </row>
    <row r="37" spans="1:9" x14ac:dyDescent="0.3">
      <c r="A37" s="43" t="s">
        <v>56</v>
      </c>
      <c r="B37" s="41"/>
      <c r="C37" s="41"/>
      <c r="D37" s="41"/>
      <c r="E37" s="41"/>
      <c r="F37" s="41"/>
      <c r="G37" s="41"/>
      <c r="H37" s="41"/>
    </row>
  </sheetData>
  <mergeCells count="4">
    <mergeCell ref="A1:H1"/>
    <mergeCell ref="A2:H2"/>
    <mergeCell ref="A3:H3"/>
    <mergeCell ref="A37:H37"/>
  </mergeCells>
  <pageMargins left="0.7" right="0.7" top="0.75" bottom="0.75" header="0.3" footer="0.3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B221-8189-4059-837A-07ED84B65BE3}">
  <dimension ref="A1:H20"/>
  <sheetViews>
    <sheetView topLeftCell="A12" zoomScaleNormal="100" workbookViewId="0">
      <selection activeCell="G37" sqref="G37"/>
    </sheetView>
  </sheetViews>
  <sheetFormatPr defaultColWidth="9" defaultRowHeight="14.4" x14ac:dyDescent="0.3"/>
  <cols>
    <col min="1" max="1" width="24" style="8" customWidth="1"/>
    <col min="2" max="2" width="8.19921875" style="8" customWidth="1"/>
    <col min="3" max="4" width="6.69921875" style="8" customWidth="1"/>
    <col min="5" max="5" width="8.19921875" style="8" customWidth="1"/>
    <col min="6" max="6" width="6.69921875" style="8" customWidth="1"/>
    <col min="7" max="8" width="10.8984375" style="8" bestFit="1" customWidth="1"/>
    <col min="9" max="16384" width="9" style="8"/>
  </cols>
  <sheetData>
    <row r="1" spans="1:8" ht="17.399999999999999" x14ac:dyDescent="0.3">
      <c r="A1" s="44" t="s">
        <v>67</v>
      </c>
      <c r="B1" s="37"/>
      <c r="C1" s="37"/>
      <c r="D1" s="37"/>
      <c r="E1" s="37"/>
      <c r="F1" s="37"/>
      <c r="G1" s="37"/>
      <c r="H1" s="37"/>
    </row>
    <row r="2" spans="1:8" ht="17.399999999999999" x14ac:dyDescent="0.3">
      <c r="A2" s="44" t="s">
        <v>66</v>
      </c>
      <c r="B2" s="37"/>
      <c r="C2" s="37"/>
      <c r="D2" s="37"/>
      <c r="E2" s="37"/>
      <c r="F2" s="37"/>
      <c r="G2" s="37"/>
      <c r="H2" s="37"/>
    </row>
    <row r="3" spans="1:8" x14ac:dyDescent="0.3">
      <c r="A3" s="45" t="s">
        <v>65</v>
      </c>
      <c r="B3" s="37"/>
      <c r="C3" s="37"/>
      <c r="D3" s="37"/>
      <c r="E3" s="37"/>
      <c r="F3" s="37"/>
      <c r="G3" s="37"/>
      <c r="H3" s="37"/>
    </row>
    <row r="5" spans="1:8" ht="36.6" x14ac:dyDescent="0.3">
      <c r="B5" s="14" t="s">
        <v>49</v>
      </c>
      <c r="C5" s="14" t="s">
        <v>64</v>
      </c>
      <c r="D5" s="14" t="s">
        <v>51</v>
      </c>
      <c r="E5" s="14" t="s">
        <v>63</v>
      </c>
      <c r="F5" s="14" t="s">
        <v>62</v>
      </c>
      <c r="G5" s="14" t="s">
        <v>55</v>
      </c>
      <c r="H5" s="14" t="s">
        <v>61</v>
      </c>
    </row>
    <row r="6" spans="1:8" x14ac:dyDescent="0.3">
      <c r="A6" s="10" t="s">
        <v>3</v>
      </c>
      <c r="B6" s="26"/>
      <c r="E6" s="26"/>
    </row>
    <row r="7" spans="1:8" x14ac:dyDescent="0.3">
      <c r="B7" s="27">
        <v>45559</v>
      </c>
      <c r="C7" s="13" t="s">
        <v>18</v>
      </c>
      <c r="D7" s="13"/>
      <c r="E7" s="27">
        <v>45580</v>
      </c>
      <c r="F7" s="12"/>
      <c r="G7" s="11">
        <v>12.97</v>
      </c>
      <c r="H7" s="11">
        <v>12.97</v>
      </c>
    </row>
    <row r="8" spans="1:8" x14ac:dyDescent="0.3">
      <c r="A8" s="10" t="s">
        <v>10</v>
      </c>
      <c r="B8" s="26"/>
      <c r="E8" s="26"/>
      <c r="G8" s="9">
        <f>SUM(G7:G7)</f>
        <v>12.97</v>
      </c>
      <c r="H8" s="9">
        <f>SUM(H7:H7)</f>
        <v>12.97</v>
      </c>
    </row>
    <row r="9" spans="1:8" ht="21.6" x14ac:dyDescent="0.3">
      <c r="A9" s="10" t="s">
        <v>60</v>
      </c>
    </row>
    <row r="10" spans="1:8" x14ac:dyDescent="0.3">
      <c r="B10" s="13" t="s">
        <v>17</v>
      </c>
      <c r="C10" s="13" t="s">
        <v>18</v>
      </c>
      <c r="D10" s="13">
        <v>8323449</v>
      </c>
      <c r="E10" s="13" t="s">
        <v>11</v>
      </c>
      <c r="F10" s="12">
        <v>15</v>
      </c>
      <c r="G10" s="11">
        <v>600</v>
      </c>
      <c r="H10" s="11">
        <v>600</v>
      </c>
    </row>
    <row r="11" spans="1:8" x14ac:dyDescent="0.3">
      <c r="B11" s="13" t="s">
        <v>19</v>
      </c>
      <c r="C11" s="13" t="s">
        <v>18</v>
      </c>
      <c r="D11" s="13">
        <v>8323530</v>
      </c>
      <c r="E11" s="13" t="s">
        <v>19</v>
      </c>
      <c r="F11" s="12">
        <v>11</v>
      </c>
      <c r="G11" s="11">
        <v>75</v>
      </c>
      <c r="H11" s="11">
        <v>75</v>
      </c>
    </row>
    <row r="12" spans="1:8" x14ac:dyDescent="0.3">
      <c r="A12" s="10" t="s">
        <v>20</v>
      </c>
      <c r="G12" s="9">
        <v>675</v>
      </c>
      <c r="H12" s="9">
        <v>675</v>
      </c>
    </row>
    <row r="13" spans="1:8" ht="21.6" x14ac:dyDescent="0.3">
      <c r="A13" s="20" t="s">
        <v>181</v>
      </c>
      <c r="B13" s="26"/>
      <c r="E13" s="26"/>
    </row>
    <row r="14" spans="1:8" x14ac:dyDescent="0.3">
      <c r="B14" s="28">
        <v>45540</v>
      </c>
      <c r="C14" s="29" t="s">
        <v>18</v>
      </c>
      <c r="D14" s="29"/>
      <c r="E14" s="28">
        <v>45560</v>
      </c>
      <c r="F14" s="30"/>
      <c r="G14" s="22">
        <v>3755.25</v>
      </c>
      <c r="H14" s="22">
        <v>3755.25</v>
      </c>
    </row>
    <row r="15" spans="1:8" x14ac:dyDescent="0.3">
      <c r="A15" s="20" t="s">
        <v>15</v>
      </c>
      <c r="B15" s="26"/>
      <c r="E15" s="26"/>
      <c r="G15" s="21">
        <f>SUM(G14:G14)</f>
        <v>3755.25</v>
      </c>
      <c r="H15" s="21">
        <f>SUM(H14:H14)</f>
        <v>3755.25</v>
      </c>
    </row>
    <row r="16" spans="1:8" x14ac:dyDescent="0.3">
      <c r="A16" s="10" t="s">
        <v>35</v>
      </c>
    </row>
    <row r="17" spans="1:8" x14ac:dyDescent="0.3">
      <c r="B17" s="13" t="s">
        <v>36</v>
      </c>
      <c r="C17" s="13" t="s">
        <v>18</v>
      </c>
      <c r="D17" s="13" t="s">
        <v>37</v>
      </c>
      <c r="E17" s="13" t="s">
        <v>59</v>
      </c>
      <c r="F17" s="12">
        <v>-9</v>
      </c>
      <c r="G17" s="11">
        <v>21330</v>
      </c>
      <c r="H17" s="11">
        <v>21330</v>
      </c>
    </row>
    <row r="18" spans="1:8" x14ac:dyDescent="0.3">
      <c r="A18" s="10" t="s">
        <v>38</v>
      </c>
      <c r="G18" s="9">
        <v>21330</v>
      </c>
      <c r="H18" s="9">
        <v>21330</v>
      </c>
    </row>
    <row r="20" spans="1:8" x14ac:dyDescent="0.3">
      <c r="A20" s="10" t="s">
        <v>58</v>
      </c>
      <c r="G20" s="9">
        <f>SUM(G8+G12+G15+G18)</f>
        <v>25773.22</v>
      </c>
      <c r="H20" s="9">
        <f>SUM(H8+H12+H15+H18)</f>
        <v>25773.22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4145D-B9A9-45DB-969F-F372322A01C0}">
  <dimension ref="B1:E6"/>
  <sheetViews>
    <sheetView view="pageBreakPreview" zoomScale="60" zoomScaleNormal="100" workbookViewId="0">
      <selection activeCell="H16" sqref="H16"/>
    </sheetView>
  </sheetViews>
  <sheetFormatPr defaultRowHeight="15.6" x14ac:dyDescent="0.3"/>
  <cols>
    <col min="1" max="1" width="2.19921875" customWidth="1"/>
    <col min="2" max="2" width="18.8984375" bestFit="1" customWidth="1"/>
    <col min="5" max="5" width="18.09765625" bestFit="1" customWidth="1"/>
  </cols>
  <sheetData>
    <row r="1" spans="2:5" x14ac:dyDescent="0.3">
      <c r="B1" s="15" t="s">
        <v>68</v>
      </c>
      <c r="C1" s="15" t="s">
        <v>49</v>
      </c>
      <c r="D1" s="15"/>
      <c r="E1" s="15" t="s">
        <v>69</v>
      </c>
    </row>
    <row r="2" spans="2:5" x14ac:dyDescent="0.3">
      <c r="B2" t="s">
        <v>70</v>
      </c>
      <c r="C2" s="16">
        <v>45566</v>
      </c>
      <c r="D2" s="16"/>
      <c r="E2" s="17">
        <v>240549.01</v>
      </c>
    </row>
    <row r="3" spans="2:5" x14ac:dyDescent="0.3">
      <c r="B3" t="s">
        <v>71</v>
      </c>
      <c r="C3" s="16">
        <v>45566</v>
      </c>
      <c r="D3" s="16"/>
      <c r="E3" s="18">
        <v>579430.30000000005</v>
      </c>
    </row>
    <row r="4" spans="2:5" x14ac:dyDescent="0.3">
      <c r="B4" t="s">
        <v>72</v>
      </c>
      <c r="C4" s="16">
        <v>45566</v>
      </c>
      <c r="D4" s="16"/>
      <c r="E4" s="18">
        <v>81636.42</v>
      </c>
    </row>
    <row r="5" spans="2:5" x14ac:dyDescent="0.3">
      <c r="B5" t="s">
        <v>73</v>
      </c>
      <c r="C5" s="16">
        <v>45566</v>
      </c>
      <c r="D5" s="16"/>
      <c r="E5" s="18">
        <v>5045.33</v>
      </c>
    </row>
    <row r="6" spans="2:5" x14ac:dyDescent="0.3">
      <c r="B6" t="s">
        <v>74</v>
      </c>
      <c r="C6" s="16">
        <v>45566</v>
      </c>
      <c r="D6" s="16"/>
      <c r="E6" s="18">
        <v>927.8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6AF62-FD21-45CC-878D-CDD58DC85AE8}">
  <dimension ref="A1:G10"/>
  <sheetViews>
    <sheetView view="pageBreakPreview" zoomScale="60" zoomScaleNormal="100" workbookViewId="0">
      <selection activeCell="E17" sqref="E17"/>
    </sheetView>
  </sheetViews>
  <sheetFormatPr defaultColWidth="9" defaultRowHeight="14.4" x14ac:dyDescent="0.3"/>
  <cols>
    <col min="1" max="1" width="6.59765625" style="8" bestFit="1" customWidth="1"/>
    <col min="2" max="2" width="8.296875" style="8" bestFit="1" customWidth="1"/>
    <col min="3" max="3" width="9.8984375" style="8" bestFit="1" customWidth="1"/>
    <col min="4" max="5" width="10.09765625" style="8" bestFit="1" customWidth="1"/>
    <col min="6" max="6" width="11.59765625" style="8" bestFit="1" customWidth="1"/>
    <col min="7" max="7" width="11.8984375" style="8" bestFit="1" customWidth="1"/>
    <col min="8" max="16384" width="9" style="8"/>
  </cols>
  <sheetData>
    <row r="1" spans="1:7" ht="17.399999999999999" x14ac:dyDescent="0.3">
      <c r="A1" s="38" t="s">
        <v>0</v>
      </c>
      <c r="B1" s="37"/>
      <c r="C1" s="37"/>
      <c r="D1" s="37"/>
      <c r="E1" s="37"/>
      <c r="F1" s="37"/>
      <c r="G1" s="37"/>
    </row>
    <row r="2" spans="1:7" ht="17.399999999999999" x14ac:dyDescent="0.3">
      <c r="A2" s="38" t="s">
        <v>178</v>
      </c>
      <c r="B2" s="37"/>
      <c r="C2" s="37"/>
      <c r="D2" s="37"/>
      <c r="E2" s="37"/>
      <c r="F2" s="37"/>
      <c r="G2" s="37"/>
    </row>
    <row r="3" spans="1:7" x14ac:dyDescent="0.3">
      <c r="A3" s="39" t="s">
        <v>177</v>
      </c>
      <c r="B3" s="37"/>
      <c r="C3" s="37"/>
      <c r="D3" s="37"/>
      <c r="E3" s="37"/>
      <c r="F3" s="37"/>
      <c r="G3" s="37"/>
    </row>
    <row r="5" spans="1:7" x14ac:dyDescent="0.3">
      <c r="A5" s="24"/>
      <c r="B5" s="23" t="s">
        <v>176</v>
      </c>
      <c r="C5" s="23" t="s">
        <v>175</v>
      </c>
      <c r="D5" s="23" t="s">
        <v>174</v>
      </c>
      <c r="E5" s="23" t="s">
        <v>173</v>
      </c>
      <c r="F5" s="23" t="s">
        <v>172</v>
      </c>
      <c r="G5" s="23" t="s">
        <v>169</v>
      </c>
    </row>
    <row r="6" spans="1:7" x14ac:dyDescent="0.3">
      <c r="A6" s="20" t="s">
        <v>58</v>
      </c>
      <c r="B6" s="21">
        <v>-50</v>
      </c>
      <c r="C6" s="21">
        <v>4770</v>
      </c>
      <c r="D6" s="21">
        <v>5342.66</v>
      </c>
      <c r="E6" s="21">
        <v>-1450.55</v>
      </c>
      <c r="F6" s="21">
        <v>787870.74</v>
      </c>
      <c r="G6" s="21">
        <f>((((B6)+(C6))+(D6))+(E6))+(F6)</f>
        <v>796482.85</v>
      </c>
    </row>
    <row r="7" spans="1:7" x14ac:dyDescent="0.3">
      <c r="A7" s="20"/>
      <c r="B7" s="19"/>
      <c r="C7" s="19"/>
      <c r="D7" s="19"/>
      <c r="E7" s="19"/>
      <c r="F7" s="19"/>
      <c r="G7" s="19"/>
    </row>
    <row r="10" spans="1:7" x14ac:dyDescent="0.3">
      <c r="A10" s="36"/>
      <c r="B10" s="37"/>
      <c r="C10" s="37"/>
      <c r="D10" s="37"/>
      <c r="E10" s="37"/>
      <c r="F10" s="37"/>
      <c r="G10" s="37"/>
    </row>
  </sheetData>
  <mergeCells count="4">
    <mergeCell ref="A10:G10"/>
    <mergeCell ref="A1:G1"/>
    <mergeCell ref="A2:G2"/>
    <mergeCell ref="A3:G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510c25-47bf-4d5d-9f22-74d2c047a4ff">
      <Terms xmlns="http://schemas.microsoft.com/office/infopath/2007/PartnerControls"/>
    </lcf76f155ced4ddcb4097134ff3c332f>
    <TaxCatchAll xmlns="b44f9349-9db6-4109-aac3-fda662bfdf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846E1B34DF55419247298A7FA15159" ma:contentTypeVersion="18" ma:contentTypeDescription="Create a new document." ma:contentTypeScope="" ma:versionID="b4b911d27c5d156c94d1505b3e3d701d">
  <xsd:schema xmlns:xsd="http://www.w3.org/2001/XMLSchema" xmlns:xs="http://www.w3.org/2001/XMLSchema" xmlns:p="http://schemas.microsoft.com/office/2006/metadata/properties" xmlns:ns2="51510c25-47bf-4d5d-9f22-74d2c047a4ff" xmlns:ns3="b44f9349-9db6-4109-aac3-fda662bfdf7d" targetNamespace="http://schemas.microsoft.com/office/2006/metadata/properties" ma:root="true" ma:fieldsID="47ced103d59e5236e9b7c5f9af291d7c" ns2:_="" ns3:_="">
    <xsd:import namespace="51510c25-47bf-4d5d-9f22-74d2c047a4ff"/>
    <xsd:import namespace="b44f9349-9db6-4109-aac3-fda662bfdf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510c25-47bf-4d5d-9f22-74d2c047a4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df11ca-e61e-48a4-8120-d3b3fe3dd9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4f9349-9db6-4109-aac3-fda662bfdf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8f6a45-16d7-4501-a25f-647bb5f62f0c}" ma:internalName="TaxCatchAll" ma:showField="CatchAllData" ma:web="b44f9349-9db6-4109-aac3-fda662bfd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58896E-31FD-423C-91CE-0982CBCB25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01ABBD-5C5D-4712-A153-1CB349F28C18}">
  <ds:schemaRefs>
    <ds:schemaRef ds:uri="http://schemas.microsoft.com/office/2006/metadata/properties"/>
    <ds:schemaRef ds:uri="http://schemas.microsoft.com/office/infopath/2007/PartnerControls"/>
    <ds:schemaRef ds:uri="51510c25-47bf-4d5d-9f22-74d2c047a4ff"/>
    <ds:schemaRef ds:uri="b44f9349-9db6-4109-aac3-fda662bfdf7d"/>
  </ds:schemaRefs>
</ds:datastoreItem>
</file>

<file path=customXml/itemProps3.xml><?xml version="1.0" encoding="utf-8"?>
<ds:datastoreItem xmlns:ds="http://schemas.openxmlformats.org/officeDocument/2006/customXml" ds:itemID="{A92C16B2-C108-4E52-92EA-C68CC415B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510c25-47bf-4d5d-9f22-74d2c047a4ff"/>
    <ds:schemaRef ds:uri="b44f9349-9db6-4109-aac3-fda662bfdf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Statement of Activity</vt:lpstr>
      <vt:lpstr>Payments Made</vt:lpstr>
      <vt:lpstr>Unpaid Bills</vt:lpstr>
      <vt:lpstr>Account Balances</vt:lpstr>
      <vt:lpstr>A R Aging Summary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collingslakes@collingslakes.org</cp:lastModifiedBy>
  <cp:lastPrinted>2024-11-09T19:57:38Z</cp:lastPrinted>
  <dcterms:created xsi:type="dcterms:W3CDTF">2022-03-24T08:55:57Z</dcterms:created>
  <dcterms:modified xsi:type="dcterms:W3CDTF">2024-11-09T20:09:46Z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0x010100C4846E1B34DF55419247298A7FA15159</vt:lpwstr>
  </property>
  <property fmtid="{D5CDD505-2E9C-101B-9397-08002B2CF9AE}" pid="3" name="MediaServiceImageTags">
    <vt:lpwstr/>
  </property>
</Properties>
</file>